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<sst xmlns="http://schemas.openxmlformats.org/spreadsheetml/2006/main" count="2238" uniqueCount="299">
  <si>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</si>
  <si>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</si>
  <si>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</si>
  <si>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</si>
  <si>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</si>
  <si>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</si>
  <si>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</si>
  <si>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</si>
  <si>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</si>
  <si>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</si>
  <si>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</si>
  <si>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</si>
  <si>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</si>
  <si>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</si>
  <si>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</si>
  <si>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</si>
  <si>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</si>
  <si>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</si>
  <si>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</si>
  <si>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</si>
  <si>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</si>
  <si>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</si>
  <si>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</si>
  <si>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</si>
  <si>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</si>
  <si>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</si>
  <si>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</si>
  <si>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</si>
  <si>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</si>
  <si>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</si>
  <si>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</si>
  <si>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</si>
  <si>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</si>
  <si>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</si>
  <si>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</si>
  <si>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</si>
  <si>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</si>
  <si>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</si>
  <si>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</si>
  <si>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</si>
  <si>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</si>
  <si>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</si>
  <si>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</si>
  <si>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</si>
  <si>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</si>
  <si>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</si>
  <si>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</si>
  <si>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</si>
  <si>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</si>
  <si>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</si>
  <si>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</si>
  <si>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</si>
  <si>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</si>
  <si>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</si>
  <si>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</si>
  <si>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</si>
  <si>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</si>
  <si>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</si>
  <si>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</si>
  <si>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</si>
  <si>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</si>
  <si>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</si>
  <si>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</si>
  <si>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</si>
  <si>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</si>
  <si>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</si>
  <si>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</si>
  <si>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</si>
  <si>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</si>
  <si>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</si>
  <si>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</si>
  <si>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</si>
  <si>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</si>
  <si>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</si>
  <si>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</si>
  <si>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</si>
  <si>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</si>
  <si>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</si>
  <si>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</si>
  <si>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</si>
  <si>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</si>
  <si>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</si>
  <si>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</si>
  <si>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</si>
  <si>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</si>
  <si>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</si>
  <si>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</si>
  <si>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</si>
  <si>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</si>
  <si>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</si>
  <si>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</si>
  <si>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</si>
  <si>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</si>
  <si>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</si>
  <si>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</si>
  <si>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</si>
  <si>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</si>
  <si>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</si>
  <si>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</si>
  <si>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</si>
  <si>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</si>
  <si>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</si>
  <si>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</si>
  <si>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</si>
  <si>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</si>
  <si>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</si>
  <si>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</si>
  <si>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</si>
  <si>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</si>
  <si>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</si>
  <si>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</si>
  <si>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</si>
  <si>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</si>
  <si>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</si>
  <si>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</si>
  <si>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</si>
  <si>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</si>
  <si>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</si>
  <si>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</si>
  <si>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</si>
  <si>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</si>
  <si>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</si>
  <si>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</si>
  <si>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</si>
  <si>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</si>
  <si>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</si>
  <si>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</si>
  <si>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</si>
  <si>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</si>
  <si>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</si>
  <si>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</si>
  <si>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</si>
  <si>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</si>
  <si>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</si>
  <si>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</si>
  <si>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</si>
  <si>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</si>
  <si>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</si>
  <si>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</si>
  <si>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</si>
  <si>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</si>
  <si>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</si>
  <si>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</si>
  <si>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</si>
  <si>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</si>
  <si>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</si>
  <si>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</si>
  <si>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</si>
  <si>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</si>
  <si>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</si>
  <si>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</si>
  <si>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</si>
  <si>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</si>
  <si>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</si>
  <si>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</si>
  <si>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</si>
  <si>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</si>
  <si>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</si>
  <si>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</si>
  <si>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</si>
  <si>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</si>
  <si>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</si>
  <si>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</si>
  <si>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</si>
  <si>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</si>
  <si>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</si>
  <si>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</si>
  <si>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</si>
  <si>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</si>
  <si>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</si>
  <si>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</si>
  <si>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</si>
  <si>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</si>
  <si>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</si>
  <si>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</si>
  <si>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</si>
  <si>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</si>
  <si>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</si>
  <si>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</si>
  <si>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</si>
  <si>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</si>
  <si>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</si>
  <si>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</si>
  <si>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</si>
  <si>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</si>
  <si>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</si>
  <si>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</si>
  <si>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</si>
  <si>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</si>
  <si>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</si>
  <si>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</si>
  <si>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</si>
  <si>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</si>
  <si>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</si>
  <si>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</si>
  <si>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</si>
  <si>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</si>
  <si>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</si>
  <si>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</si>
  <si>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</si>
  <si>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</si>
  <si>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</si>
  <si>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</si>
  <si>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</si>
  <si>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</si>
  <si>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</si>
  <si>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</si>
  <si>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</si>
  <si>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</si>
  <si>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</si>
  <si>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</si>
  <si>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</si>
  <si>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</si>
  <si>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</si>
  <si>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</si>
  <si>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</si>
  <si>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</si>
  <si>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</si>
  <si>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</si>
  <si>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</si>
  <si>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</si>
  <si>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</si>
  <si>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</si>
  <si>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</si>
  <si>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</si>
  <si>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</si>
  <si>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</si>
  <si>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</si>
  <si>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</si>
  <si>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</si>
  <si>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</si>
  <si>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</si>
  <si>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</si>
  <si>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</si>
  <si>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</si>
  <si>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</si>
  <si>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</si>
  <si>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</si>
  <si>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</si>
  <si>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</si>
  <si>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</si>
  <si>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</si>
  <si>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</si>
  <si>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</si>
  <si>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</si>
  <si>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</si>
  <si>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</si>
  <si>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</si>
  <si>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</si>
  <si>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</si>
  <si>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</si>
  <si>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</si>
  <si>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</si>
  <si>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</si>
  <si>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</si>
  <si>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</si>
  <si>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</si>
  <si>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</si>
  <si>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</si>
  <si>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</si>
  <si>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</si>
  <si>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</si>
  <si>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</si>
  <si>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</si>
  <si>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</si>
  <si>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</si>
  <si>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</si>
  <si>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</si>
  <si>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</si>
  <si>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</si>
  <si>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</si>
  <si>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</si>
  <si>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</si>
  <si>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</si>
  <si>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</si>
  <si>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</si>
  <si>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</si>
  <si>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</si>
  <si>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</si>
  <si>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</si>
  <si>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</si>
  <si>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</si>
  <si>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</si>
  <si>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</si>
  <si>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</si>
  <si>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</si>
  <si>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</si>
  <si>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</si>
  <si>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</si>
  <si>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</si>
  <si>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</si>
  <si>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</si>
  <si>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</si>
  <si>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</si>
  <si>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</si>
  <si>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</si>
  <si>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</si>
  <si>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06.11.2014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</si>
  <si>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05.11.14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</si>
</sst>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1"/>
      <sheetName val="депозит"/>
      <sheetName val="залишки  (2)"/>
      <sheetName val="надх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грудень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9020596.530000001</v>
          </cell>
        </row>
      </sheetData>
      <sheetData sheetId="14">
        <row r="52">
          <cell r="B52">
            <v>13107884.84</v>
          </cell>
        </row>
      </sheetData>
      <sheetData sheetId="23">
        <row r="28">
          <cell r="C28">
            <v>4870376.3</v>
          </cell>
        </row>
      </sheetData>
      <sheetData sheetId="24">
        <row r="28">
          <cell r="C28">
            <v>3219411</v>
          </cell>
        </row>
      </sheetData>
      <sheetData sheetId="25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48" sqref="H148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297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294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291</v>
      </c>
      <c r="H4" s="206" t="s">
        <v>280</v>
      </c>
      <c r="I4" s="202" t="s">
        <v>188</v>
      </c>
      <c r="J4" s="208" t="s">
        <v>189</v>
      </c>
      <c r="K4" s="195" t="s">
        <v>292</v>
      </c>
      <c r="L4" s="196"/>
      <c r="M4" s="216"/>
      <c r="N4" s="200" t="s">
        <v>298</v>
      </c>
      <c r="O4" s="202" t="s">
        <v>136</v>
      </c>
      <c r="P4" s="202" t="s">
        <v>135</v>
      </c>
      <c r="Q4" s="195" t="s">
        <v>296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290</v>
      </c>
      <c r="F5" s="219"/>
      <c r="G5" s="205"/>
      <c r="H5" s="207"/>
      <c r="I5" s="203"/>
      <c r="J5" s="209"/>
      <c r="K5" s="197"/>
      <c r="L5" s="198"/>
      <c r="M5" s="151" t="s">
        <v>293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392133.06</v>
      </c>
      <c r="G8" s="22">
        <f aca="true" t="shared" si="0" ref="G8:G30">F8-E8</f>
        <v>-39124.96999999997</v>
      </c>
      <c r="H8" s="51">
        <f>F8/E8*100</f>
        <v>90.92771211703582</v>
      </c>
      <c r="I8" s="36">
        <f aca="true" t="shared" si="1" ref="I8:I17">F8-D8</f>
        <v>-96343.23999999999</v>
      </c>
      <c r="J8" s="36">
        <f aca="true" t="shared" si="2" ref="J8:J14">F8/D8*100</f>
        <v>80.276783131546</v>
      </c>
      <c r="K8" s="36">
        <f>F8-421084.1</f>
        <v>-28951.03999999998</v>
      </c>
      <c r="L8" s="136">
        <f>F8/421084.1</f>
        <v>0.9312464184707996</v>
      </c>
      <c r="M8" s="22">
        <f>M10+M19+M33+M56+M68+M30</f>
        <v>40254.39000000002</v>
      </c>
      <c r="N8" s="22">
        <f>N10+N19+N33+N56+N68+N30</f>
        <v>3373.8099999999868</v>
      </c>
      <c r="O8" s="36">
        <f aca="true" t="shared" si="3" ref="O8:O71">N8-M8</f>
        <v>-36880.58000000003</v>
      </c>
      <c r="P8" s="36">
        <f>F8/M8*100</f>
        <v>974.1373797988239</v>
      </c>
      <c r="Q8" s="36">
        <f>N8-39535.7</f>
        <v>-36161.890000000014</v>
      </c>
      <c r="R8" s="134">
        <f>N8/39535.7</f>
        <v>0.08533578512584795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319205.17</v>
      </c>
      <c r="G9" s="22">
        <f t="shared" si="0"/>
        <v>319205.17</v>
      </c>
      <c r="H9" s="20"/>
      <c r="I9" s="56">
        <f t="shared" si="1"/>
        <v>-67808.03000000003</v>
      </c>
      <c r="J9" s="56">
        <f t="shared" si="2"/>
        <v>82.47914283027038</v>
      </c>
      <c r="K9" s="56"/>
      <c r="L9" s="135"/>
      <c r="M9" s="20">
        <f>M10+M17</f>
        <v>32301.900000000023</v>
      </c>
      <c r="N9" s="20">
        <f>N10+N17</f>
        <v>3182.9799999999814</v>
      </c>
      <c r="O9" s="36">
        <f t="shared" si="3"/>
        <v>-29118.920000000042</v>
      </c>
      <c r="P9" s="56">
        <f>F9/M9*100</f>
        <v>988.1931712995204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319205.17</v>
      </c>
      <c r="G10" s="49">
        <f t="shared" si="0"/>
        <v>-32802.830000000016</v>
      </c>
      <c r="H10" s="40">
        <f aca="true" t="shared" si="4" ref="H10:H17">F10/E10*100</f>
        <v>90.68122599486375</v>
      </c>
      <c r="I10" s="56">
        <f t="shared" si="1"/>
        <v>-67808.03000000003</v>
      </c>
      <c r="J10" s="56">
        <f t="shared" si="2"/>
        <v>82.47914283027038</v>
      </c>
      <c r="K10" s="141">
        <f>F10-334336.4</f>
        <v>-15131.23000000004</v>
      </c>
      <c r="L10" s="142">
        <f>F10/334336.4</f>
        <v>0.954742498872393</v>
      </c>
      <c r="M10" s="40">
        <f>E10-жовтень!E10</f>
        <v>32301.900000000023</v>
      </c>
      <c r="N10" s="40">
        <f>F10-жовтень!F10</f>
        <v>3182.9799999999814</v>
      </c>
      <c r="O10" s="53">
        <f t="shared" si="3"/>
        <v>-29118.920000000042</v>
      </c>
      <c r="P10" s="56">
        <f aca="true" t="shared" si="5" ref="P10:P17">N10/M10*100</f>
        <v>9.85384760648748</v>
      </c>
      <c r="Q10" s="141">
        <f>N10-32243.9</f>
        <v>-29060.92000000002</v>
      </c>
      <c r="R10" s="142">
        <f>N10/32243.9</f>
        <v>0.09871572607531909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-880.89</v>
      </c>
      <c r="G19" s="49">
        <f t="shared" si="0"/>
        <v>-1960.4899999999998</v>
      </c>
      <c r="H19" s="40">
        <f aca="true" t="shared" si="6" ref="H19:H29">F19/E19*100</f>
        <v>-81.59410892923306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F19-7207</f>
        <v>-8087.89</v>
      </c>
      <c r="L19" s="168">
        <f>F19/7207</f>
        <v>-0.12222700152629389</v>
      </c>
      <c r="M19" s="40">
        <f>E19-жовтень!E19</f>
        <v>12</v>
      </c>
      <c r="N19" s="40">
        <f>F19-жовтень!F19</f>
        <v>0</v>
      </c>
      <c r="O19" s="53">
        <f t="shared" si="3"/>
        <v>-12</v>
      </c>
      <c r="P19" s="56">
        <f aca="true" t="shared" si="9" ref="P19:P29">N19/M19*100</f>
        <v>0</v>
      </c>
      <c r="Q19" s="56">
        <f>N19-363.4</f>
        <v>-363.4</v>
      </c>
      <c r="R19" s="135">
        <f>N19/363.4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-391.9</v>
      </c>
      <c r="G29" s="49">
        <f t="shared" si="0"/>
        <v>-1211.5</v>
      </c>
      <c r="H29" s="40">
        <f t="shared" si="6"/>
        <v>-47.81600780868716</v>
      </c>
      <c r="I29" s="56">
        <f t="shared" si="7"/>
        <v>-1321.9</v>
      </c>
      <c r="J29" s="56">
        <f t="shared" si="8"/>
        <v>-42.13978494623656</v>
      </c>
      <c r="K29" s="148">
        <f>F29-3580.01</f>
        <v>-3971.9100000000003</v>
      </c>
      <c r="L29" s="149">
        <f>F29/3580.01</f>
        <v>-0.10946896796377663</v>
      </c>
      <c r="M29" s="40">
        <f>E29-жовтень!E29</f>
        <v>12</v>
      </c>
      <c r="N29" s="40">
        <f>F29-жовтень!F29</f>
        <v>-10</v>
      </c>
      <c r="O29" s="148">
        <f t="shared" si="3"/>
        <v>-22</v>
      </c>
      <c r="P29" s="145">
        <f t="shared" si="9"/>
        <v>-83.33333333333334</v>
      </c>
      <c r="Q29" s="148">
        <f>N29-664.71</f>
        <v>-674.71</v>
      </c>
      <c r="R29" s="149">
        <f>N29/664.71</f>
        <v>-0.015044154593732604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68371.22</v>
      </c>
      <c r="G33" s="49">
        <f aca="true" t="shared" si="14" ref="G33:G72">F33-E33</f>
        <v>-3542.209999999992</v>
      </c>
      <c r="H33" s="40">
        <f aca="true" t="shared" si="15" ref="H33:H67">F33/E33*100</f>
        <v>95.07434146862416</v>
      </c>
      <c r="I33" s="56">
        <f>F33-D33</f>
        <v>-25194.78</v>
      </c>
      <c r="J33" s="56">
        <f aca="true" t="shared" si="16" ref="J33:J72">F33/D33*100</f>
        <v>73.07271872261292</v>
      </c>
      <c r="K33" s="141">
        <f>F33-73845.7</f>
        <v>-5474.479999999996</v>
      </c>
      <c r="L33" s="142">
        <f>F33/73845.7</f>
        <v>0.925865961051219</v>
      </c>
      <c r="M33" s="40">
        <f>E33-жовтень!E33</f>
        <v>7377.5899999999965</v>
      </c>
      <c r="N33" s="40">
        <f>F33-жовтень!F33</f>
        <v>104.38000000000466</v>
      </c>
      <c r="O33" s="53">
        <f t="shared" si="3"/>
        <v>-7273.209999999992</v>
      </c>
      <c r="P33" s="56">
        <f aca="true" t="shared" si="17" ref="P33:P67">N33/M33*100</f>
        <v>1.4148251664839697</v>
      </c>
      <c r="Q33" s="141">
        <f>N33-6429.9</f>
        <v>-6325.519999999995</v>
      </c>
      <c r="R33" s="142">
        <f>N33/6429.9</f>
        <v>0.016233533958538184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50876.08</v>
      </c>
      <c r="G55" s="144">
        <f t="shared" si="14"/>
        <v>-1972.449999999997</v>
      </c>
      <c r="H55" s="146">
        <f t="shared" si="15"/>
        <v>96.26772967951995</v>
      </c>
      <c r="I55" s="145">
        <f t="shared" si="18"/>
        <v>-19389.92</v>
      </c>
      <c r="J55" s="145">
        <f t="shared" si="16"/>
        <v>72.40497537927305</v>
      </c>
      <c r="K55" s="148">
        <f>F55-53912.95</f>
        <v>-3036.8699999999953</v>
      </c>
      <c r="L55" s="149">
        <f>F55/53912.95</f>
        <v>0.9436708620099624</v>
      </c>
      <c r="M55" s="40">
        <f>E55-жовтень!E55</f>
        <v>5442.989999999998</v>
      </c>
      <c r="N55" s="40">
        <f>F55-жовтень!F55</f>
        <v>171.4300000000003</v>
      </c>
      <c r="O55" s="148">
        <f t="shared" si="3"/>
        <v>-5271.559999999998</v>
      </c>
      <c r="P55" s="148">
        <f t="shared" si="17"/>
        <v>3.1495556670139093</v>
      </c>
      <c r="Q55" s="160">
        <f>N55-4756.32</f>
        <v>-4584.889999999999</v>
      </c>
      <c r="R55" s="161">
        <f>N55/4756.32</f>
        <v>0.03604257072694863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1.51+5402.85</f>
        <v>5404.360000000001</v>
      </c>
      <c r="G56" s="49">
        <f t="shared" si="14"/>
        <v>-815.539999999999</v>
      </c>
      <c r="H56" s="40">
        <f t="shared" si="15"/>
        <v>86.88821363687521</v>
      </c>
      <c r="I56" s="56">
        <f t="shared" si="18"/>
        <v>-1455.6399999999994</v>
      </c>
      <c r="J56" s="56">
        <f t="shared" si="16"/>
        <v>78.78075801749273</v>
      </c>
      <c r="K56" s="56">
        <f>F56-6560</f>
        <v>-1155.6399999999994</v>
      </c>
      <c r="L56" s="135">
        <f>F56/6560</f>
        <v>0.8238353658536586</v>
      </c>
      <c r="M56" s="40">
        <f>E56-жовтень!E56</f>
        <v>553.3999999999996</v>
      </c>
      <c r="N56" s="40">
        <f>F56-жовтень!F56</f>
        <v>58.400000000000546</v>
      </c>
      <c r="O56" s="53">
        <f t="shared" si="3"/>
        <v>-494.9999999999991</v>
      </c>
      <c r="P56" s="56">
        <f t="shared" si="17"/>
        <v>10.55294542826176</v>
      </c>
      <c r="Q56" s="56">
        <f>N56-486.5</f>
        <v>-428.09999999999945</v>
      </c>
      <c r="R56" s="135">
        <f>N56/486.5</f>
        <v>0.12004110996916864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F68-(-1.9)</f>
        <v>3.7</v>
      </c>
      <c r="L68" s="135"/>
      <c r="M68" s="40">
        <f>E68-жовтень!E68</f>
        <v>0</v>
      </c>
      <c r="N68" s="40">
        <f>F68-жовтень!F68</f>
        <v>0</v>
      </c>
      <c r="O68" s="53">
        <f t="shared" si="3"/>
        <v>0</v>
      </c>
      <c r="P68" s="56"/>
      <c r="Q68" s="56">
        <f>N68-0.2</f>
        <v>-0.2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11520.210000000001</v>
      </c>
      <c r="G74" s="50">
        <f aca="true" t="shared" si="24" ref="G74:G92">F74-E74</f>
        <v>-3756.789999999999</v>
      </c>
      <c r="H74" s="51">
        <f aca="true" t="shared" si="25" ref="H74:H87">F74/E74*100</f>
        <v>75.40884990508609</v>
      </c>
      <c r="I74" s="36">
        <f aca="true" t="shared" si="26" ref="I74:I92">F74-D74</f>
        <v>-6838.089999999998</v>
      </c>
      <c r="J74" s="36">
        <f aca="true" t="shared" si="27" ref="J74:J92">F74/D74*100</f>
        <v>62.75205220526956</v>
      </c>
      <c r="K74" s="36">
        <f>F74-17827.8</f>
        <v>-6307.589999999998</v>
      </c>
      <c r="L74" s="136">
        <f>F74/17827.8</f>
        <v>0.646193585299364</v>
      </c>
      <c r="M74" s="22">
        <f>M77+M86+M88+M89+M94+M95+M96+M97+M99+M87+M104</f>
        <v>1580.5</v>
      </c>
      <c r="N74" s="22">
        <f>N77+N86+N88+N89+N94+N95+N96+N97+N99+N32+N104+N87+N103</f>
        <v>731.3000000000006</v>
      </c>
      <c r="O74" s="55">
        <f aca="true" t="shared" si="28" ref="O74:O92">N74-M74</f>
        <v>-849.1999999999994</v>
      </c>
      <c r="P74" s="36">
        <f>N74/M74*100</f>
        <v>46.270167668459386</v>
      </c>
      <c r="Q74" s="36">
        <f>N74-1502.5</f>
        <v>-771.1999999999994</v>
      </c>
      <c r="R74" s="136">
        <f>N74/1502.5</f>
        <v>0.4867221297836943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123.45</v>
      </c>
      <c r="G77" s="49">
        <f t="shared" si="24"/>
        <v>-36.55</v>
      </c>
      <c r="H77" s="40">
        <f t="shared" si="25"/>
        <v>77.15625</v>
      </c>
      <c r="I77" s="56">
        <f t="shared" si="26"/>
        <v>-376.55</v>
      </c>
      <c r="J77" s="56">
        <f t="shared" si="27"/>
        <v>24.69</v>
      </c>
      <c r="K77" s="167">
        <f>F77-1728.8</f>
        <v>-1605.35</v>
      </c>
      <c r="L77" s="168">
        <f>F77/1728.8</f>
        <v>0.07140791300323925</v>
      </c>
      <c r="M77" s="40">
        <f>E77-жовтень!E77</f>
        <v>50</v>
      </c>
      <c r="N77" s="40">
        <f>F77-жовтень!F77</f>
        <v>0</v>
      </c>
      <c r="O77" s="53">
        <f t="shared" si="28"/>
        <v>-50</v>
      </c>
      <c r="P77" s="56">
        <f aca="true" t="shared" si="29" ref="P77:P87">N77/M77*100</f>
        <v>0</v>
      </c>
      <c r="Q77" s="56">
        <f>N77-11.1</f>
        <v>-11.1</v>
      </c>
      <c r="R77" s="135">
        <f>N77/11.1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F87-227.9</f>
        <v>51.70000000000002</v>
      </c>
      <c r="L87" s="135">
        <f>F87/227.9</f>
        <v>1.2268538832821414</v>
      </c>
      <c r="M87" s="40">
        <f>E87-жовтень!E87</f>
        <v>0</v>
      </c>
      <c r="N87" s="40">
        <f>F87-жовтень!F87</f>
        <v>0</v>
      </c>
      <c r="O87" s="53">
        <f t="shared" si="28"/>
        <v>0</v>
      </c>
      <c r="P87" s="56" t="e">
        <f t="shared" si="29"/>
        <v>#DIV/0!</v>
      </c>
      <c r="Q87" s="56">
        <f>N87-5.7</f>
        <v>-5.7</v>
      </c>
      <c r="R87" s="135">
        <f>N87/5.7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5.6</v>
      </c>
      <c r="G88" s="49">
        <f t="shared" si="24"/>
        <v>1.0999999999999996</v>
      </c>
      <c r="H88" s="40">
        <f>F88/E88*100</f>
        <v>124.44444444444444</v>
      </c>
      <c r="I88" s="56">
        <f t="shared" si="26"/>
        <v>0.5</v>
      </c>
      <c r="J88" s="56">
        <f t="shared" si="27"/>
        <v>109.80392156862746</v>
      </c>
      <c r="K88" s="56">
        <f>F88-4.9</f>
        <v>0.6999999999999993</v>
      </c>
      <c r="L88" s="135"/>
      <c r="M88" s="40">
        <f>E88-жовтень!E88</f>
        <v>0.5</v>
      </c>
      <c r="N88" s="40">
        <f>F88-жовтень!F88</f>
        <v>0</v>
      </c>
      <c r="O88" s="53">
        <f t="shared" si="28"/>
        <v>-0.5</v>
      </c>
      <c r="P88" s="56">
        <f>N88/M88*100</f>
        <v>0</v>
      </c>
      <c r="Q88" s="56">
        <f>N88-0.5</f>
        <v>-0.5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113.3</v>
      </c>
      <c r="G89" s="49">
        <f t="shared" si="24"/>
        <v>-45.7</v>
      </c>
      <c r="H89" s="40">
        <f>F89/E89*100</f>
        <v>71.25786163522012</v>
      </c>
      <c r="I89" s="56">
        <f t="shared" si="26"/>
        <v>-61.7</v>
      </c>
      <c r="J89" s="56">
        <f t="shared" si="27"/>
        <v>64.74285714285715</v>
      </c>
      <c r="K89" s="56">
        <f>F89-147.9</f>
        <v>-34.60000000000001</v>
      </c>
      <c r="L89" s="135">
        <f>F89/147.9</f>
        <v>0.7660581473968897</v>
      </c>
      <c r="M89" s="40">
        <f>E89-жовтень!E89</f>
        <v>15</v>
      </c>
      <c r="N89" s="40">
        <f>F89-жовтень!F89</f>
        <v>0.8499999999999943</v>
      </c>
      <c r="O89" s="53">
        <f t="shared" si="28"/>
        <v>-14.150000000000006</v>
      </c>
      <c r="P89" s="56">
        <f>N89/M89*100</f>
        <v>5.666666666666629</v>
      </c>
      <c r="Q89" s="56">
        <f>N89-10.4</f>
        <v>-9.550000000000006</v>
      </c>
      <c r="R89" s="135">
        <f>N89/10.4</f>
        <v>0.08173076923076868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6573.84</v>
      </c>
      <c r="G95" s="49">
        <f t="shared" si="31"/>
        <v>167.34000000000015</v>
      </c>
      <c r="H95" s="40">
        <f>F95/E95*100</f>
        <v>102.61203465230626</v>
      </c>
      <c r="I95" s="56">
        <f t="shared" si="32"/>
        <v>-426.15999999999985</v>
      </c>
      <c r="J95" s="56">
        <f>F95/D95*100</f>
        <v>93.912</v>
      </c>
      <c r="K95" s="56">
        <f>F95-6761</f>
        <v>-187.15999999999985</v>
      </c>
      <c r="L95" s="135">
        <f>F95/6761</f>
        <v>0.9723177044815856</v>
      </c>
      <c r="M95" s="40">
        <f>E95-жовтень!E95</f>
        <v>575</v>
      </c>
      <c r="N95" s="40">
        <f>F95-жовтень!F95</f>
        <v>636.6900000000005</v>
      </c>
      <c r="O95" s="53">
        <f t="shared" si="33"/>
        <v>61.69000000000051</v>
      </c>
      <c r="P95" s="56">
        <f>N95/M95*100</f>
        <v>110.728695652174</v>
      </c>
      <c r="Q95" s="56">
        <f>N95-591</f>
        <v>45.69000000000051</v>
      </c>
      <c r="R95" s="135">
        <f>N95/591</f>
        <v>1.0773096446700516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869.55</v>
      </c>
      <c r="G96" s="49">
        <f t="shared" si="31"/>
        <v>-144.95000000000005</v>
      </c>
      <c r="H96" s="40">
        <f>F96/E96*100</f>
        <v>85.7121734844751</v>
      </c>
      <c r="I96" s="56">
        <f t="shared" si="32"/>
        <v>-330.45000000000005</v>
      </c>
      <c r="J96" s="56">
        <f>F96/D96*100</f>
        <v>72.46249999999999</v>
      </c>
      <c r="K96" s="56">
        <f>F96-1013.8</f>
        <v>-144.25</v>
      </c>
      <c r="L96" s="135">
        <f>F96/1013.8</f>
        <v>0.8577135529690274</v>
      </c>
      <c r="M96" s="40">
        <f>E96-жовтень!E96</f>
        <v>110</v>
      </c>
      <c r="N96" s="40">
        <f>F96-жовтень!F96</f>
        <v>4.3799999999999955</v>
      </c>
      <c r="O96" s="53">
        <f t="shared" si="33"/>
        <v>-105.62</v>
      </c>
      <c r="P96" s="56">
        <f>N96/M96*100</f>
        <v>3.9818181818181775</v>
      </c>
      <c r="Q96" s="56">
        <f>N96-83.7</f>
        <v>-79.32000000000001</v>
      </c>
      <c r="R96" s="135">
        <f>N96/83.7</f>
        <v>0.0523297491039426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3536.32</v>
      </c>
      <c r="G99" s="49">
        <f t="shared" si="31"/>
        <v>-130.67999999999984</v>
      </c>
      <c r="H99" s="40">
        <f>F99/E99*100</f>
        <v>96.43632397054813</v>
      </c>
      <c r="I99" s="56">
        <f t="shared" si="32"/>
        <v>-1036.3799999999997</v>
      </c>
      <c r="J99" s="56">
        <f>F99/D99*100</f>
        <v>77.33549106654712</v>
      </c>
      <c r="K99" s="56">
        <f>F99-4178.8</f>
        <v>-642.48</v>
      </c>
      <c r="L99" s="135">
        <f>F99/4178.8</f>
        <v>0.8462525126830669</v>
      </c>
      <c r="M99" s="40">
        <f>E99-жовтень!E99</f>
        <v>330</v>
      </c>
      <c r="N99" s="40">
        <f>F99-жовтень!F99</f>
        <v>89.38000000000011</v>
      </c>
      <c r="O99" s="53">
        <f t="shared" si="33"/>
        <v>-240.6199999999999</v>
      </c>
      <c r="P99" s="56">
        <f>N99/M99*100</f>
        <v>27.084848484848518</v>
      </c>
      <c r="Q99" s="56">
        <f>N99-332.8</f>
        <v>-243.4199999999999</v>
      </c>
      <c r="R99" s="135">
        <f>N99/332.8</f>
        <v>0.2685697115384619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862</v>
      </c>
      <c r="G102" s="144"/>
      <c r="H102" s="146"/>
      <c r="I102" s="145"/>
      <c r="J102" s="145"/>
      <c r="K102" s="148">
        <f>F102-738.2</f>
        <v>123.79999999999995</v>
      </c>
      <c r="L102" s="149">
        <f>F102/738.2</f>
        <v>1.1677052289352479</v>
      </c>
      <c r="M102" s="40">
        <f>E102-жовтень!E102</f>
        <v>0</v>
      </c>
      <c r="N102" s="40">
        <f>F102-жовтень!F102</f>
        <v>22.700000000000045</v>
      </c>
      <c r="O102" s="53"/>
      <c r="P102" s="60"/>
      <c r="Q102" s="60">
        <f>N102-89.7</f>
        <v>-66.99999999999996</v>
      </c>
      <c r="R102" s="138">
        <f>N102/89.7</f>
        <v>0.2530657748049057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-43.54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21.96</v>
      </c>
      <c r="G105" s="49">
        <f>F105-E105</f>
        <v>-8.239999999999998</v>
      </c>
      <c r="H105" s="40">
        <f>F105/E105*100</f>
        <v>72.71523178807946</v>
      </c>
      <c r="I105" s="56">
        <f t="shared" si="34"/>
        <v>-23.04</v>
      </c>
      <c r="J105" s="56">
        <f aca="true" t="shared" si="36" ref="J105:J110">F105/D105*100</f>
        <v>48.800000000000004</v>
      </c>
      <c r="K105" s="56">
        <f>F105-35.8</f>
        <v>-13.839999999999996</v>
      </c>
      <c r="L105" s="135">
        <f>F105/35.8</f>
        <v>0.6134078212290504</v>
      </c>
      <c r="M105" s="40">
        <f>E105-жовтень!E105</f>
        <v>3</v>
      </c>
      <c r="N105" s="40">
        <f>F105-жовтень!F105</f>
        <v>0.25</v>
      </c>
      <c r="O105" s="53">
        <f t="shared" si="35"/>
        <v>-2.75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403675.60000000003</v>
      </c>
      <c r="G107" s="175">
        <f>F107-E107</f>
        <v>-42889.62999999995</v>
      </c>
      <c r="H107" s="51">
        <f>F107/E107*100</f>
        <v>90.39566291356809</v>
      </c>
      <c r="I107" s="36">
        <f t="shared" si="34"/>
        <v>-103203.99999999994</v>
      </c>
      <c r="J107" s="36">
        <f t="shared" si="36"/>
        <v>79.63934630630234</v>
      </c>
      <c r="K107" s="36">
        <f>F107-438950.2</f>
        <v>-35274.59999999998</v>
      </c>
      <c r="L107" s="136">
        <f>F107/438950.2</f>
        <v>0.9196387198365555</v>
      </c>
      <c r="M107" s="22">
        <f>M8+M74+M105+M106</f>
        <v>41837.89000000002</v>
      </c>
      <c r="N107" s="22">
        <f>N8+N74+N105+N106</f>
        <v>4105.359999999988</v>
      </c>
      <c r="O107" s="55">
        <f t="shared" si="35"/>
        <v>-37732.530000000035</v>
      </c>
      <c r="P107" s="36">
        <f>N107/M107*100</f>
        <v>9.812540737594524</v>
      </c>
      <c r="Q107" s="36">
        <f>N107-41056.6</f>
        <v>-36951.24000000001</v>
      </c>
      <c r="R107" s="136">
        <f>N107/41056.6</f>
        <v>0.09999269301403399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320074.72</v>
      </c>
      <c r="G108" s="153">
        <f>G10-G18+G96</f>
        <v>-32947.78000000001</v>
      </c>
      <c r="H108" s="72">
        <f>F108/E108*100</f>
        <v>90.66694615782279</v>
      </c>
      <c r="I108" s="52">
        <f t="shared" si="34"/>
        <v>-68138.48000000004</v>
      </c>
      <c r="J108" s="52">
        <f t="shared" si="36"/>
        <v>82.44818053584989</v>
      </c>
      <c r="K108" s="52">
        <f>F108-335439.2</f>
        <v>-15364.48000000004</v>
      </c>
      <c r="L108" s="137">
        <f>F108/335439.2</f>
        <v>0.9541959317813778</v>
      </c>
      <c r="M108" s="71">
        <f>M10-M18+M96</f>
        <v>32411.900000000023</v>
      </c>
      <c r="N108" s="71">
        <f>N10-N18+N96</f>
        <v>3187.3599999999815</v>
      </c>
      <c r="O108" s="53">
        <f t="shared" si="35"/>
        <v>-29224.54000000004</v>
      </c>
      <c r="P108" s="52">
        <f>N108/M108*100</f>
        <v>9.83391902356844</v>
      </c>
      <c r="Q108" s="52">
        <f>N108-32327.7</f>
        <v>-29140.34000000002</v>
      </c>
      <c r="R108" s="137">
        <f>N108/32327.7</f>
        <v>0.09859532227779834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83600.88000000006</v>
      </c>
      <c r="G109" s="176">
        <f>F109-E109</f>
        <v>-9941.849999999919</v>
      </c>
      <c r="H109" s="72">
        <f>F109/E109*100</f>
        <v>89.37186246328291</v>
      </c>
      <c r="I109" s="52">
        <f t="shared" si="34"/>
        <v>-35065.5199999999</v>
      </c>
      <c r="J109" s="52">
        <f t="shared" si="36"/>
        <v>70.45033809064746</v>
      </c>
      <c r="K109" s="52">
        <f>F109-103511.1</f>
        <v>-19910.219999999943</v>
      </c>
      <c r="L109" s="137">
        <f>F109/103511.1</f>
        <v>0.8076513533331213</v>
      </c>
      <c r="M109" s="71">
        <f>M107-M108</f>
        <v>9425.989999999998</v>
      </c>
      <c r="N109" s="71">
        <f>N107-N108</f>
        <v>918.0000000000064</v>
      </c>
      <c r="O109" s="53">
        <f t="shared" si="35"/>
        <v>-8507.98999999999</v>
      </c>
      <c r="P109" s="52">
        <f>N109/M109*100</f>
        <v>9.739030064746585</v>
      </c>
      <c r="Q109" s="52">
        <f>N109-8729</f>
        <v>-7810.999999999994</v>
      </c>
      <c r="R109" s="137">
        <f>N109/8729</f>
        <v>0.1051666857601107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320074.72</v>
      </c>
      <c r="G110" s="111">
        <f>F110-E110</f>
        <v>-28607.880000000005</v>
      </c>
      <c r="H110" s="72">
        <f>F110/E110*100</f>
        <v>91.79543802874018</v>
      </c>
      <c r="I110" s="81">
        <f t="shared" si="34"/>
        <v>-68138.48000000004</v>
      </c>
      <c r="J110" s="52">
        <f t="shared" si="36"/>
        <v>82.44818053584989</v>
      </c>
      <c r="K110" s="52"/>
      <c r="L110" s="137"/>
      <c r="M110" s="72">
        <f>E110-жовтень!E110</f>
        <v>33441.899999999965</v>
      </c>
      <c r="N110" s="71">
        <f>N108</f>
        <v>3187.3599999999815</v>
      </c>
      <c r="O110" s="63">
        <f t="shared" si="35"/>
        <v>-30254.539999999983</v>
      </c>
      <c r="P110" s="52">
        <f>N110/M110*100</f>
        <v>9.531037411151832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F114-20.7</f>
        <v>-20.74</v>
      </c>
      <c r="L114" s="138">
        <f>F114/20.7</f>
        <v>-0.0019323671497584543</v>
      </c>
      <c r="M114" s="40">
        <f>E114-жовтень!E114</f>
        <v>0</v>
      </c>
      <c r="N114" s="40">
        <f>F114-жовтень!F114</f>
        <v>0</v>
      </c>
      <c r="O114" s="53"/>
      <c r="P114" s="60"/>
      <c r="Q114" s="60">
        <f>N114-(-0.8)</f>
        <v>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1345.72</v>
      </c>
      <c r="G115" s="49">
        <f t="shared" si="37"/>
        <v>-1988.68</v>
      </c>
      <c r="H115" s="40">
        <f aca="true" t="shared" si="39" ref="H115:H126">F115/E115*100</f>
        <v>40.35868522072937</v>
      </c>
      <c r="I115" s="60">
        <f t="shared" si="38"/>
        <v>-2325.7799999999997</v>
      </c>
      <c r="J115" s="60">
        <f aca="true" t="shared" si="40" ref="J115:J121">F115/D115*100</f>
        <v>36.65313904398747</v>
      </c>
      <c r="K115" s="60">
        <f>F115-3211.4</f>
        <v>-1865.68</v>
      </c>
      <c r="L115" s="138">
        <f>F115/3211.4</f>
        <v>0.41904465342218344</v>
      </c>
      <c r="M115" s="40">
        <f>E115-жовтень!E115</f>
        <v>327.4000000000001</v>
      </c>
      <c r="N115" s="40">
        <f>F115-жовтень!F115</f>
        <v>27.170000000000073</v>
      </c>
      <c r="O115" s="53">
        <f aca="true" t="shared" si="41" ref="O115:O126">N115-M115</f>
        <v>-300.23</v>
      </c>
      <c r="P115" s="60">
        <f>N115/M115*100</f>
        <v>8.298717165546751</v>
      </c>
      <c r="Q115" s="60">
        <f>N115-83.3</f>
        <v>-56.129999999999924</v>
      </c>
      <c r="R115" s="138">
        <f>N115/83.3</f>
        <v>0.3261704681872758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265.2</v>
      </c>
      <c r="G116" s="49">
        <f t="shared" si="37"/>
        <v>20.69999999999999</v>
      </c>
      <c r="H116" s="40">
        <f t="shared" si="39"/>
        <v>108.46625766871165</v>
      </c>
      <c r="I116" s="60">
        <f t="shared" si="38"/>
        <v>-2.900000000000034</v>
      </c>
      <c r="J116" s="60">
        <f t="shared" si="40"/>
        <v>98.91831406191717</v>
      </c>
      <c r="K116" s="60">
        <f>F116-245.6</f>
        <v>19.599999999999994</v>
      </c>
      <c r="L116" s="138">
        <f>F116/245.6</f>
        <v>1.0798045602605864</v>
      </c>
      <c r="M116" s="40">
        <f>E116-жовтень!E116</f>
        <v>22</v>
      </c>
      <c r="N116" s="40">
        <f>F116-жовтень!F116</f>
        <v>1.9499999999999886</v>
      </c>
      <c r="O116" s="53">
        <f t="shared" si="41"/>
        <v>-20.05000000000001</v>
      </c>
      <c r="P116" s="60">
        <f>N116/M116*100</f>
        <v>8.863636363636312</v>
      </c>
      <c r="Q116" s="60">
        <f>N116-24.1</f>
        <v>-22.150000000000013</v>
      </c>
      <c r="R116" s="138">
        <f>N116/24.1</f>
        <v>0.08091286307053894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1610.88</v>
      </c>
      <c r="G117" s="62">
        <f t="shared" si="37"/>
        <v>-1968.02</v>
      </c>
      <c r="H117" s="72">
        <f t="shared" si="39"/>
        <v>45.01047807985694</v>
      </c>
      <c r="I117" s="61">
        <f t="shared" si="38"/>
        <v>-2328.72</v>
      </c>
      <c r="J117" s="61">
        <f t="shared" si="40"/>
        <v>40.88943039902529</v>
      </c>
      <c r="K117" s="61">
        <f>F117-3477.6</f>
        <v>-1866.7199999999998</v>
      </c>
      <c r="L117" s="139">
        <f>F117/3477.6</f>
        <v>0.46321601104209803</v>
      </c>
      <c r="M117" s="62">
        <f>M115+M116+M114</f>
        <v>349.4000000000001</v>
      </c>
      <c r="N117" s="38">
        <f>SUM(N114:N116)</f>
        <v>29.12000000000006</v>
      </c>
      <c r="O117" s="61">
        <f t="shared" si="41"/>
        <v>-320.28000000000003</v>
      </c>
      <c r="P117" s="61">
        <f>N117/M117*100</f>
        <v>8.33428734974243</v>
      </c>
      <c r="Q117" s="61">
        <f>N117-106.6</f>
        <v>-77.47999999999993</v>
      </c>
      <c r="R117" s="139">
        <f>N117/106.6</f>
        <v>0.27317073170731765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438.71</v>
      </c>
      <c r="G119" s="49">
        <f t="shared" si="37"/>
        <v>178.20999999999998</v>
      </c>
      <c r="H119" s="40">
        <f t="shared" si="39"/>
        <v>168.41074856046066</v>
      </c>
      <c r="I119" s="60">
        <f t="shared" si="38"/>
        <v>171.51</v>
      </c>
      <c r="J119" s="60">
        <f t="shared" si="40"/>
        <v>164.18787425149702</v>
      </c>
      <c r="K119" s="60">
        <f>F119-237.7</f>
        <v>201.01</v>
      </c>
      <c r="L119" s="138">
        <f>F119/237.7</f>
        <v>1.8456457719814894</v>
      </c>
      <c r="M119" s="40">
        <f>E119-жовтень!E119</f>
        <v>0</v>
      </c>
      <c r="N119" s="40">
        <f>F119-жовтень!F119</f>
        <v>1.7099999999999795</v>
      </c>
      <c r="O119" s="53">
        <f>N119-M119</f>
        <v>1.7099999999999795</v>
      </c>
      <c r="P119" s="60" t="e">
        <f>N119/M119*100</f>
        <v>#DIV/0!</v>
      </c>
      <c r="Q119" s="60">
        <f>N119-3.5</f>
        <v>-1.7900000000000205</v>
      </c>
      <c r="R119" s="138">
        <f>N119/3.5</f>
        <v>0.4885714285714227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69886.96</v>
      </c>
      <c r="G120" s="49">
        <f t="shared" si="37"/>
        <v>1174.3600000000006</v>
      </c>
      <c r="H120" s="40">
        <f t="shared" si="39"/>
        <v>101.70908974482118</v>
      </c>
      <c r="I120" s="53">
        <f t="shared" si="38"/>
        <v>-2089.029999999999</v>
      </c>
      <c r="J120" s="60">
        <f t="shared" si="40"/>
        <v>97.09760157519194</v>
      </c>
      <c r="K120" s="60">
        <f>F120-66794.9</f>
        <v>3092.060000000012</v>
      </c>
      <c r="L120" s="138">
        <f>F120/66794.9</f>
        <v>1.0462918576118838</v>
      </c>
      <c r="M120" s="40">
        <f>E120-жовтень!E120</f>
        <v>8700.000000000007</v>
      </c>
      <c r="N120" s="40">
        <f>F120-жовтень!F120</f>
        <v>2029.6800000000076</v>
      </c>
      <c r="O120" s="53">
        <f t="shared" si="41"/>
        <v>-6670.32</v>
      </c>
      <c r="P120" s="60">
        <f aca="true" t="shared" si="42" ref="P120:P125">N120/M120*100</f>
        <v>23.32965517241386</v>
      </c>
      <c r="Q120" s="60">
        <f>N120-8604.8</f>
        <v>-6575.119999999992</v>
      </c>
      <c r="R120" s="138">
        <f>N120/8604.8</f>
        <v>0.23587764968389827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1754.79</v>
      </c>
      <c r="G121" s="49">
        <f t="shared" si="37"/>
        <v>-1606.4</v>
      </c>
      <c r="H121" s="40">
        <f t="shared" si="39"/>
        <v>52.20740273534076</v>
      </c>
      <c r="I121" s="60">
        <f t="shared" si="38"/>
        <v>-2995.21</v>
      </c>
      <c r="J121" s="60">
        <f t="shared" si="40"/>
        <v>36.94294736842105</v>
      </c>
      <c r="K121" s="60">
        <f>F121-1790.1</f>
        <v>-35.309999999999945</v>
      </c>
      <c r="L121" s="138">
        <f>F121/1790.1</f>
        <v>0.9802748449807274</v>
      </c>
      <c r="M121" s="40">
        <f>E121-жовтень!E121</f>
        <v>161.78999999999996</v>
      </c>
      <c r="N121" s="40">
        <f>F121-жовтень!F121</f>
        <v>0</v>
      </c>
      <c r="O121" s="53">
        <f t="shared" si="41"/>
        <v>-161.78999999999996</v>
      </c>
      <c r="P121" s="60">
        <f t="shared" si="42"/>
        <v>0</v>
      </c>
      <c r="Q121" s="60">
        <f>N121-500.5</f>
        <v>-500.5</v>
      </c>
      <c r="R121" s="138">
        <f>N121/500.5</f>
        <v>0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2766.76</v>
      </c>
      <c r="G122" s="49">
        <f t="shared" si="37"/>
        <v>-17542.97</v>
      </c>
      <c r="H122" s="40">
        <f t="shared" si="39"/>
        <v>13.622830042546111</v>
      </c>
      <c r="I122" s="60">
        <f t="shared" si="38"/>
        <v>-20310.370000000003</v>
      </c>
      <c r="J122" s="60">
        <f>F122/D122*100</f>
        <v>11.98918583030039</v>
      </c>
      <c r="K122" s="60">
        <f>F122-23492</f>
        <v>-20725.239999999998</v>
      </c>
      <c r="L122" s="138">
        <f>F122/23492</f>
        <v>0.11777456155286907</v>
      </c>
      <c r="M122" s="40">
        <f>E122-жовтень!E122</f>
        <v>2733.5</v>
      </c>
      <c r="N122" s="40">
        <f>F122-жовтень!F122</f>
        <v>4.660000000000309</v>
      </c>
      <c r="O122" s="53">
        <f t="shared" si="41"/>
        <v>-2728.8399999999997</v>
      </c>
      <c r="P122" s="60">
        <f t="shared" si="42"/>
        <v>0.17047740991404095</v>
      </c>
      <c r="Q122" s="60">
        <f>N122-826.2</f>
        <v>-821.5399999999997</v>
      </c>
      <c r="R122" s="138">
        <f>N122/826.2</f>
        <v>0.00564028080367987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1234.02</v>
      </c>
      <c r="G123" s="49">
        <f t="shared" si="37"/>
        <v>-576.3800000000001</v>
      </c>
      <c r="H123" s="40">
        <f t="shared" si="39"/>
        <v>68.16283694211224</v>
      </c>
      <c r="I123" s="60">
        <f t="shared" si="38"/>
        <v>-765.98</v>
      </c>
      <c r="J123" s="60">
        <f>F123/D123*100</f>
        <v>61.70099999999999</v>
      </c>
      <c r="K123" s="60">
        <f>F123-1731.9</f>
        <v>-497.8800000000001</v>
      </c>
      <c r="L123" s="138">
        <f>F123/1731.9</f>
        <v>0.7125238177723887</v>
      </c>
      <c r="M123" s="40">
        <f>E123-жовтень!E123</f>
        <v>189.59000000000015</v>
      </c>
      <c r="N123" s="40">
        <f>F123-жовтень!F123</f>
        <v>100</v>
      </c>
      <c r="O123" s="53">
        <f t="shared" si="41"/>
        <v>-89.59000000000015</v>
      </c>
      <c r="P123" s="60">
        <f t="shared" si="42"/>
        <v>52.745397964027596</v>
      </c>
      <c r="Q123" s="60">
        <f>N123-9.2</f>
        <v>90.8</v>
      </c>
      <c r="R123" s="138">
        <f>N123/9.2</f>
        <v>10.869565217391305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76081.24</v>
      </c>
      <c r="G124" s="62">
        <f t="shared" si="37"/>
        <v>-18373.179999999993</v>
      </c>
      <c r="H124" s="72">
        <f t="shared" si="39"/>
        <v>80.54809928428972</v>
      </c>
      <c r="I124" s="61">
        <f t="shared" si="38"/>
        <v>-25989.08</v>
      </c>
      <c r="J124" s="61">
        <f>F124/D124*100</f>
        <v>74.5380635624538</v>
      </c>
      <c r="K124" s="61">
        <f>F124-94046.5</f>
        <v>-17965.259999999995</v>
      </c>
      <c r="L124" s="139">
        <f>F124/94046.5</f>
        <v>0.8089747093193261</v>
      </c>
      <c r="M124" s="62">
        <f>M120+M121+M122+M123+M119</f>
        <v>11784.880000000008</v>
      </c>
      <c r="N124" s="62">
        <f>N120+N121+N122+N123+N119</f>
        <v>2136.050000000008</v>
      </c>
      <c r="O124" s="61">
        <f t="shared" si="41"/>
        <v>-9648.83</v>
      </c>
      <c r="P124" s="61">
        <f t="shared" si="42"/>
        <v>18.125343660690703</v>
      </c>
      <c r="Q124" s="61">
        <f>N124-9944.1</f>
        <v>-7808.049999999992</v>
      </c>
      <c r="R124" s="139">
        <f>N124/9944.1</f>
        <v>0.21480576422200176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E125-вересень!E125</f>
        <v>7.9999999999999964</v>
      </c>
      <c r="N125" s="40">
        <f>F125-вересень!F125</f>
        <v>10.839999999999996</v>
      </c>
      <c r="O125" s="53">
        <f t="shared" si="41"/>
        <v>2.84</v>
      </c>
      <c r="P125" s="60">
        <f t="shared" si="42"/>
        <v>135.50000000000003</v>
      </c>
      <c r="Q125" s="60">
        <f>N125-0.2</f>
        <v>10.639999999999997</v>
      </c>
      <c r="R125" s="138">
        <f>N125/0.2</f>
        <v>54.19999999999998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7388.94</v>
      </c>
      <c r="G128" s="49">
        <f aca="true" t="shared" si="43" ref="G128:G135">F128-E128</f>
        <v>-1310.0600000000004</v>
      </c>
      <c r="H128" s="40">
        <f>F128/E128*100</f>
        <v>84.94010805839751</v>
      </c>
      <c r="I128" s="60">
        <f aca="true" t="shared" si="44" ref="I128:I135">F128-D128</f>
        <v>-1311.0600000000004</v>
      </c>
      <c r="J128" s="60">
        <f>F128/D128*100</f>
        <v>84.9303448275862</v>
      </c>
      <c r="K128" s="60">
        <f>F128-10826.4</f>
        <v>-3437.46</v>
      </c>
      <c r="L128" s="138">
        <f>F128/10826.4</f>
        <v>0.682492795389049</v>
      </c>
      <c r="M128" s="40">
        <f>E128-вересень!E128</f>
        <v>1980.5</v>
      </c>
      <c r="N128" s="40">
        <f>F128-вересень!F128</f>
        <v>20.05999999999949</v>
      </c>
      <c r="O128" s="53">
        <f aca="true" t="shared" si="45" ref="O128:O135">N128-M128</f>
        <v>-1960.4400000000005</v>
      </c>
      <c r="P128" s="60">
        <f>N128/M128*100</f>
        <v>1.012875536480661</v>
      </c>
      <c r="Q128" s="60">
        <f>N128-2097.7</f>
        <v>-2077.6400000000003</v>
      </c>
      <c r="R128" s="162">
        <f>N128/2097.7</f>
        <v>0.009562854554988556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F129-0.8</f>
        <v>0.49</v>
      </c>
      <c r="L129" s="138">
        <f>F129/0.8</f>
        <v>1.6125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N129-(-0.3)</f>
        <v>0.51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7444.719999999999</v>
      </c>
      <c r="G130" s="62">
        <f t="shared" si="43"/>
        <v>-1296.6400000000012</v>
      </c>
      <c r="H130" s="72">
        <f>F130/E130*100</f>
        <v>85.16661022998709</v>
      </c>
      <c r="I130" s="61">
        <f t="shared" si="44"/>
        <v>-1305.9800000000014</v>
      </c>
      <c r="J130" s="61">
        <f>F130/D130*100</f>
        <v>85.07570822905595</v>
      </c>
      <c r="K130" s="61">
        <f>F130-10959.2</f>
        <v>-3514.4800000000014</v>
      </c>
      <c r="L130" s="139">
        <f>G130/10959.2</f>
        <v>-0.11831520548945189</v>
      </c>
      <c r="M130" s="62">
        <f>M125+M128+M129+M127</f>
        <v>1988.5</v>
      </c>
      <c r="N130" s="62">
        <f>N125+N128+N129+N127</f>
        <v>31.109999999999488</v>
      </c>
      <c r="O130" s="61">
        <f t="shared" si="45"/>
        <v>-1957.3900000000006</v>
      </c>
      <c r="P130" s="61">
        <f>N130/M130*100</f>
        <v>1.5644958511440525</v>
      </c>
      <c r="Q130" s="61">
        <f>N130-2098.3</f>
        <v>-2067.1900000000005</v>
      </c>
      <c r="R130" s="137">
        <f>N130/2098.3</f>
        <v>0.014826287947385735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33.03</v>
      </c>
      <c r="G131" s="49">
        <f>F131-E131</f>
        <v>8.780000000000001</v>
      </c>
      <c r="H131" s="40">
        <f>F131/E131*100</f>
        <v>136.20618556701032</v>
      </c>
      <c r="I131" s="60">
        <f>F131-D131</f>
        <v>3.030000000000001</v>
      </c>
      <c r="J131" s="60">
        <f>F131/D131*100</f>
        <v>110.1</v>
      </c>
      <c r="K131" s="60">
        <f>F131-28.2</f>
        <v>4.830000000000002</v>
      </c>
      <c r="L131" s="138">
        <f>F131/28.2</f>
        <v>1.171276595744681</v>
      </c>
      <c r="M131" s="40">
        <f>E131-вересень!E131</f>
        <v>0.8000000000000007</v>
      </c>
      <c r="N131" s="40">
        <f>F131-вересень!F131</f>
        <v>1.1700000000000017</v>
      </c>
      <c r="O131" s="53">
        <f>N131-M131</f>
        <v>0.370000000000001</v>
      </c>
      <c r="P131" s="60">
        <f>N131/M131*100</f>
        <v>146.25000000000009</v>
      </c>
      <c r="Q131" s="60">
        <f>N131-0.2</f>
        <v>0.9700000000000017</v>
      </c>
      <c r="R131" s="138">
        <f>N131/0.2</f>
        <v>5.8500000000000085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85169.87000000001</v>
      </c>
      <c r="G134" s="50">
        <f t="shared" si="43"/>
        <v>-21629.059999999983</v>
      </c>
      <c r="H134" s="51">
        <f>F134/E134*100</f>
        <v>79.7478682604779</v>
      </c>
      <c r="I134" s="36">
        <f t="shared" si="44"/>
        <v>-29620.75</v>
      </c>
      <c r="J134" s="36">
        <f>F134/D134*100</f>
        <v>74.19584457336322</v>
      </c>
      <c r="K134" s="36">
        <f>F134-108511.5</f>
        <v>-23341.62999999999</v>
      </c>
      <c r="L134" s="136">
        <f>F134/108511.5</f>
        <v>0.7848925689903836</v>
      </c>
      <c r="M134" s="31">
        <f>M117+M131+M124+M130+M133+M132</f>
        <v>14123.580000000009</v>
      </c>
      <c r="N134" s="31">
        <f>N117+N131+N124+N130+N133+N132</f>
        <v>2197.4500000000075</v>
      </c>
      <c r="O134" s="36">
        <f t="shared" si="45"/>
        <v>-11926.130000000001</v>
      </c>
      <c r="P134" s="36">
        <f>N134/M134*100</f>
        <v>15.558732276094348</v>
      </c>
      <c r="Q134" s="36">
        <f>N134-12149.2</f>
        <v>-9951.749999999993</v>
      </c>
      <c r="R134" s="136">
        <f>N134/12149.2</f>
        <v>0.1808719915714621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488845.47000000003</v>
      </c>
      <c r="G135" s="50">
        <f t="shared" si="43"/>
        <v>-64518.689999999886</v>
      </c>
      <c r="H135" s="51">
        <f>F135/E135*100</f>
        <v>88.34064533561408</v>
      </c>
      <c r="I135" s="36">
        <f t="shared" si="44"/>
        <v>-132824.74999999994</v>
      </c>
      <c r="J135" s="36">
        <f>F135/D135*100</f>
        <v>78.634210594807</v>
      </c>
      <c r="K135" s="36">
        <f>F135-547461.7</f>
        <v>-58616.22999999992</v>
      </c>
      <c r="L135" s="136">
        <f>F135/547461.7</f>
        <v>0.8929309027462562</v>
      </c>
      <c r="M135" s="22">
        <f>M107+M134</f>
        <v>55961.47000000003</v>
      </c>
      <c r="N135" s="22">
        <f>N107+N134</f>
        <v>6302.809999999996</v>
      </c>
      <c r="O135" s="36">
        <f t="shared" si="45"/>
        <v>-49658.66000000003</v>
      </c>
      <c r="P135" s="36">
        <f>N135/M135*100</f>
        <v>11.262767043110184</v>
      </c>
      <c r="Q135" s="36">
        <f>N135-53205.8</f>
        <v>-46902.990000000005</v>
      </c>
      <c r="R135" s="136">
        <f>N135/53205.8</f>
        <v>0.11846095726405759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17</v>
      </c>
      <c r="D137" s="4" t="s">
        <v>118</v>
      </c>
    </row>
    <row r="138" spans="2:17" ht="31.5">
      <c r="B138" s="78" t="s">
        <v>154</v>
      </c>
      <c r="C138" s="39">
        <f>IF(O107&lt;0,ABS(O107/C137),0)</f>
        <v>2219.560588235296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41948</v>
      </c>
      <c r="D139" s="39">
        <v>2496.5</v>
      </c>
      <c r="N139" s="194"/>
      <c r="O139" s="194"/>
    </row>
    <row r="140" spans="3:15" ht="15.75">
      <c r="C140" s="120">
        <v>41947</v>
      </c>
      <c r="D140" s="39">
        <v>979</v>
      </c>
      <c r="F140" s="4" t="s">
        <v>166</v>
      </c>
      <c r="G140" s="190" t="s">
        <v>151</v>
      </c>
      <c r="H140" s="190"/>
      <c r="I140" s="115"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41946</v>
      </c>
      <c r="D141" s="39">
        <v>629.8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118595.01290999999</v>
      </c>
      <c r="E143" s="80"/>
      <c r="F143" s="100" t="s">
        <v>147</v>
      </c>
      <c r="G143" s="190" t="s">
        <v>149</v>
      </c>
      <c r="H143" s="190"/>
      <c r="I143" s="116">
        <v>109574.41638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13107.88484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187</v>
      </c>
      <c r="E3" s="46"/>
      <c r="F3" s="230" t="s">
        <v>107</v>
      </c>
      <c r="G3" s="231"/>
      <c r="H3" s="231"/>
      <c r="I3" s="231"/>
      <c r="J3" s="232"/>
      <c r="K3" s="123"/>
      <c r="L3" s="123"/>
      <c r="M3" s="233" t="s">
        <v>190</v>
      </c>
      <c r="N3" s="224" t="s">
        <v>185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191</v>
      </c>
      <c r="F4" s="225" t="s">
        <v>116</v>
      </c>
      <c r="G4" s="227" t="s">
        <v>167</v>
      </c>
      <c r="H4" s="206" t="s">
        <v>168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3"/>
      <c r="N4" s="200" t="s">
        <v>194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184</v>
      </c>
      <c r="L5" s="198"/>
      <c r="M5" s="233"/>
      <c r="N5" s="201"/>
      <c r="O5" s="223"/>
      <c r="P5" s="224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192</v>
      </c>
      <c r="E3" s="46"/>
      <c r="F3" s="230" t="s">
        <v>107</v>
      </c>
      <c r="G3" s="231"/>
      <c r="H3" s="231"/>
      <c r="I3" s="231"/>
      <c r="J3" s="232"/>
      <c r="K3" s="123"/>
      <c r="L3" s="123"/>
      <c r="M3" s="208" t="s">
        <v>200</v>
      </c>
      <c r="N3" s="224" t="s">
        <v>178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153</v>
      </c>
      <c r="F4" s="225" t="s">
        <v>116</v>
      </c>
      <c r="G4" s="227" t="s">
        <v>175</v>
      </c>
      <c r="H4" s="206" t="s">
        <v>176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6"/>
      <c r="N4" s="200" t="s">
        <v>186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177</v>
      </c>
      <c r="L5" s="198"/>
      <c r="M5" s="209"/>
      <c r="N5" s="201"/>
      <c r="O5" s="223"/>
      <c r="P5" s="224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1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46" sqref="J146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282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285</v>
      </c>
      <c r="L4" s="196"/>
      <c r="M4" s="216"/>
      <c r="N4" s="200" t="s">
        <v>289</v>
      </c>
      <c r="O4" s="202" t="s">
        <v>136</v>
      </c>
      <c r="P4" s="202" t="s">
        <v>135</v>
      </c>
      <c r="Q4" s="195" t="s">
        <v>287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278</v>
      </c>
      <c r="F5" s="219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839.3</v>
      </c>
      <c r="G102" s="144"/>
      <c r="H102" s="146"/>
      <c r="I102" s="145"/>
      <c r="J102" s="145"/>
      <c r="K102" s="148">
        <f>F102-647.5</f>
        <v>191.79999999999995</v>
      </c>
      <c r="L102" s="149">
        <f>F102/647.5</f>
        <v>1.296216216216216</v>
      </c>
      <c r="M102" s="40">
        <f>E102-вересень!E102</f>
        <v>0</v>
      </c>
      <c r="N102" s="40">
        <f>F102-вересень!F102</f>
        <v>80.89999999999998</v>
      </c>
      <c r="O102" s="53"/>
      <c r="P102" s="60"/>
      <c r="Q102" s="60">
        <f>N102-103.3</f>
        <v>-22.40000000000002</v>
      </c>
      <c r="R102" s="138">
        <f>N102/103.3</f>
        <v>0.7831558567279766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194"/>
      <c r="O139" s="194"/>
    </row>
    <row r="140" spans="3:15" ht="15.75">
      <c r="C140" s="120">
        <v>41942</v>
      </c>
      <c r="D140" s="39">
        <v>4208.5</v>
      </c>
      <c r="F140" s="4" t="s">
        <v>166</v>
      </c>
      <c r="G140" s="190" t="s">
        <v>151</v>
      </c>
      <c r="H140" s="190"/>
      <c r="I140" s="115">
        <v>9020.6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41941</v>
      </c>
      <c r="D141" s="39">
        <v>2987.3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116647.51</v>
      </c>
      <c r="E143" s="80"/>
      <c r="F143" s="100" t="s">
        <v>147</v>
      </c>
      <c r="G143" s="190" t="s">
        <v>149</v>
      </c>
      <c r="H143" s="190"/>
      <c r="I143" s="116">
        <v>107626.91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16930.7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272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6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268</v>
      </c>
      <c r="F5" s="219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261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6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258</v>
      </c>
      <c r="F5" s="219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252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6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248</v>
      </c>
      <c r="F5" s="219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243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6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237</v>
      </c>
      <c r="F5" s="219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233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6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228</v>
      </c>
      <c r="F5" s="219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221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6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216</v>
      </c>
      <c r="F5" s="219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13107.88484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208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210</v>
      </c>
      <c r="N3" s="217" t="s">
        <v>198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6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214</v>
      </c>
      <c r="F5" s="219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2014-11-06T09:06:13Z</cp:lastPrinted>
  <dcterms:created xsi:type="dcterms:W3CDTF">2003-07-28T11:27:56Z</dcterms:created>
  <dcterms:modified xsi:type="dcterms:W3CDTF">2014-11-06T09:18:21Z</dcterms:modified>
  <cp:category/>
  <cp:version/>
  <cp:contentType/>
  <cp:contentStatus/>
</cp:coreProperties>
</file>